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Калькулятор" sheetId="1" r:id="rId5"/>
    <sheet state="visible" name="Расчет ресурсов" sheetId="2" r:id="rId6"/>
  </sheets>
  <definedNames/>
  <calcPr/>
</workbook>
</file>

<file path=xl/sharedStrings.xml><?xml version="1.0" encoding="utf-8"?>
<sst xmlns="http://schemas.openxmlformats.org/spreadsheetml/2006/main" count="124" uniqueCount="63">
  <si>
    <t>Калькулятор профитов стартовых данжей Aion 2</t>
  </si>
  <si>
    <t>Интерактивная таблица: учитывает раздельные пулы энергии для Мейна и Твинков, а также динамические штрафы.</t>
  </si>
  <si>
    <t>boosty.to/lootstat</t>
  </si>
  <si>
    <t>Параметры аккаунта (Редактируемые)</t>
  </si>
  <si>
    <t>Детализация расчета ценности ресурсов за 1 заход</t>
  </si>
  <si>
    <t>Цены на Amplify кусок (Редактируемые)</t>
  </si>
  <si>
    <t>Все цены указаны в кинарах. Расчет производится на основе шансов выпадения.</t>
  </si>
  <si>
    <t>Количество твинков на аккаунте</t>
  </si>
  <si>
    <t>Название данжа</t>
  </si>
  <si>
    <t>Тип данжа</t>
  </si>
  <si>
    <t>Unique Amplify</t>
  </si>
  <si>
    <t>Осн. ресурс</t>
  </si>
  <si>
    <t>Цена реса</t>
  </si>
  <si>
    <t>Шанс на рес</t>
  </si>
  <si>
    <t>Средний профит с реса за ран</t>
  </si>
  <si>
    <t>Unique Amp</t>
  </si>
  <si>
    <t>Цена Unique amplify</t>
  </si>
  <si>
    <t>Еженедельная энергия МЕЙНА</t>
  </si>
  <si>
    <t>Heroic Amplify</t>
  </si>
  <si>
    <t>Шанс Unique</t>
  </si>
  <si>
    <t>Мин шт</t>
  </si>
  <si>
    <t>Макс шт</t>
  </si>
  <si>
    <t>Ср. Unique</t>
  </si>
  <si>
    <t>Еженедельная энергия ОДНОГО твинка</t>
  </si>
  <si>
    <t>Heroic Amp</t>
  </si>
  <si>
    <t>Цена Heroic amplify</t>
  </si>
  <si>
    <t>Шанс Heroic</t>
  </si>
  <si>
    <t>Стоимость одного захода (энергия)</t>
  </si>
  <si>
    <t>Ср. Heroic</t>
  </si>
  <si>
    <t>Суммарная энергия аккаунта в неделю</t>
  </si>
  <si>
    <t>Средний профит с ресурсов за заход</t>
  </si>
  <si>
    <t>Krao Cave</t>
  </si>
  <si>
    <t>Conquest</t>
  </si>
  <si>
    <t>Особый ресурс</t>
  </si>
  <si>
    <t>Суммарно заходов в неделю (аккаунт)</t>
  </si>
  <si>
    <t>https://www.donationalerts.com/r/lootstat - поддержать развитие таблицы и коту на корм</t>
  </si>
  <si>
    <t>CONQUEST  ДАНЖИ — расчет недельной доходности со штрафами</t>
  </si>
  <si>
    <t>Время (мин)</t>
  </si>
  <si>
    <t>Энергия/заход</t>
  </si>
  <si>
    <t>Чистая кинара</t>
  </si>
  <si>
    <t>Средний профит с ресов за ран</t>
  </si>
  <si>
    <t>Средний профит за ран</t>
  </si>
  <si>
    <t>Заходов в неделю</t>
  </si>
  <si>
    <t>Часов в неделю</t>
  </si>
  <si>
    <t>Профит в час без ресов</t>
  </si>
  <si>
    <t>Профит в час с ресами</t>
  </si>
  <si>
    <t xml:space="preserve">Недельный профит </t>
  </si>
  <si>
    <t>Недельный профит с ресами</t>
  </si>
  <si>
    <t>Draupnir</t>
  </si>
  <si>
    <t>Urugugu Canyon</t>
  </si>
  <si>
    <t>Vakron Sky Island</t>
  </si>
  <si>
    <t>Fire Temple</t>
  </si>
  <si>
    <t>Ferocious Horn Den</t>
  </si>
  <si>
    <t>Deus/Arkanis Stage 1</t>
  </si>
  <si>
    <t>Transcendence</t>
  </si>
  <si>
    <t>Нет</t>
  </si>
  <si>
    <t>Deus/Arkanis Stage 2</t>
  </si>
  <si>
    <t>Deus/Arkanis Stage 3</t>
  </si>
  <si>
    <t>Deus/Arkanis Stage 4</t>
  </si>
  <si>
    <t>Кинара за Conquest данжи штрафуется после 84 прохождений  -20%, а после 105 прохождений еще на -20% (итого -40%) Ресурсы не штрафуются.</t>
  </si>
  <si>
    <t>https://www.youtube.com/@LootStatGAME видео по фарму данжей за разные классы тут</t>
  </si>
  <si>
    <t>TRANSCENDENCE  ДАНЖИ — расчет недельной доходности со штрафами</t>
  </si>
  <si>
    <t>Кинара за Transcendence данжи штрафуется после 55 прохождения -20%, а после 69 прохождения  еще на -20% (итого -40%) Ресурсы не штрафуются.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</si>
</sst>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.0%"/>
    <numFmt numFmtId="165" formatCode="0.0"/>
    <numFmt numFmtId="166" formatCode="#,##0.0"/>
  </numFmts>
  <fonts count="15">
    <font>
      <sz val="11.0"/>
      <color theme="1"/>
      <name val="Calibri"/>
      <scheme val="minor"/>
    </font>
    <font>
      <b/>
      <sz val="16.0"/>
      <color rgb="FF1F497D"/>
      <name val="Calibri"/>
    </font>
    <font>
      <i/>
      <sz val="11.0"/>
      <color rgb="FF595959"/>
      <name val="Calibri"/>
    </font>
    <font>
      <u/>
      <color rgb="FF000000"/>
    </font>
    <font>
      <b/>
      <sz val="10.0"/>
      <color theme="1"/>
      <name val="Calibri"/>
    </font>
    <font>
      <sz val="10.0"/>
      <color theme="1"/>
      <name val="Calibri"/>
    </font>
    <font>
      <b/>
      <sz val="10.0"/>
      <color rgb="FFFFFFFF"/>
      <name val="Calibri"/>
    </font>
    <font>
      <u/>
      <sz val="12.0"/>
      <color rgb="FFEFEFEF"/>
      <name val="Arial"/>
    </font>
    <font>
      <u/>
      <color rgb="FFF2F2F2"/>
      <name val="Calibri"/>
      <scheme val="minor"/>
    </font>
    <font>
      <sz val="12.0"/>
      <color rgb="FFEFEFEF"/>
      <name val="Arial"/>
    </font>
    <font>
      <u/>
      <color rgb="FF0000FF"/>
    </font>
    <font>
      <b/>
      <sz val="11.0"/>
      <color rgb="FF1F497D"/>
      <name val="Calibri"/>
    </font>
    <font>
      <i/>
      <sz val="9.0"/>
      <color theme="1"/>
      <name val="Calibri"/>
    </font>
    <font>
      <color theme="1"/>
      <name val="Calibri"/>
      <scheme val="minor"/>
    </font>
    <font>
      <u/>
      <color rgb="FF0000FF"/>
    </font>
  </fonts>
  <fills count="6">
    <fill>
      <patternFill patternType="none"/>
    </fill>
    <fill>
      <patternFill patternType="lightGray"/>
    </fill>
    <fill>
      <patternFill patternType="solid">
        <fgColor rgb="FF418AB3"/>
        <bgColor rgb="FF418AB3"/>
      </patternFill>
    </fill>
    <fill>
      <patternFill patternType="solid">
        <fgColor rgb="FFDCE6F1"/>
        <bgColor rgb="FFDCE6F1"/>
      </patternFill>
    </fill>
    <fill>
      <patternFill patternType="solid">
        <fgColor rgb="FFE2EFDA"/>
        <bgColor rgb="FFE2EFDA"/>
      </patternFill>
    </fill>
    <fill>
      <patternFill patternType="solid">
        <fgColor rgb="FFF2F2F2"/>
        <bgColor rgb="FFF2F2F2"/>
      </patternFill>
    </fill>
  </fills>
  <borders count="3">
    <border/>
    <border>
      <bottom style="medium">
        <color rgb="FF2F5496"/>
      </bottom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</border>
  </borders>
  <cellStyleXfs count="1">
    <xf borderId="0" fillId="0" fontId="0" numFmtId="0" applyAlignment="1" applyFont="1"/>
  </cellStyleXfs>
  <cellXfs count="4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Alignment="1" applyFont="1">
      <alignment readingOrder="0"/>
    </xf>
    <xf borderId="1" fillId="0" fontId="4" numFmtId="0" xfId="0" applyBorder="1" applyFont="1"/>
    <xf borderId="0" fillId="0" fontId="1" numFmtId="0" xfId="0" applyAlignment="1" applyFont="1">
      <alignment readingOrder="0"/>
    </xf>
    <xf borderId="1" fillId="0" fontId="4" numFmtId="0" xfId="0" applyAlignment="1" applyBorder="1" applyFont="1">
      <alignment horizontal="left" readingOrder="0" vertical="center"/>
    </xf>
    <xf borderId="2" fillId="0" fontId="5" numFmtId="0" xfId="0" applyAlignment="1" applyBorder="1" applyFont="1">
      <alignment horizontal="left" vertical="center"/>
    </xf>
    <xf borderId="2" fillId="2" fontId="6" numFmtId="0" xfId="0" applyAlignment="1" applyBorder="1" applyFill="1" applyFont="1">
      <alignment horizontal="center" readingOrder="0" shrinkToFit="0" vertical="center" wrapText="1"/>
    </xf>
    <xf borderId="2" fillId="3" fontId="4" numFmtId="3" xfId="0" applyAlignment="1" applyBorder="1" applyFill="1" applyFont="1" applyNumberFormat="1">
      <alignment horizontal="right" readingOrder="0" vertical="center"/>
    </xf>
    <xf borderId="2" fillId="2" fontId="6" numFmtId="0" xfId="0" applyAlignment="1" applyBorder="1" applyFill="1" applyFont="1">
      <alignment horizontal="center" shrinkToFit="0" vertical="center" wrapText="1"/>
    </xf>
    <xf borderId="2" fillId="0" fontId="5" numFmtId="0" xfId="0" applyAlignment="1" applyBorder="1" applyFont="1">
      <alignment horizontal="left" readingOrder="0" vertical="center"/>
    </xf>
    <xf borderId="2" fillId="3" fontId="4" numFmtId="3" xfId="0" applyAlignment="1" applyBorder="1" applyFill="1" applyFont="1" applyNumberFormat="1">
      <alignment horizontal="right" vertical="center"/>
    </xf>
    <xf borderId="0" fillId="0" fontId="7" numFmtId="0" xfId="0" applyAlignment="1" applyFont="1">
      <alignment readingOrder="0"/>
    </xf>
    <xf borderId="0" fillId="0" fontId="8" numFmtId="0" xfId="0" applyAlignment="1" applyFont="1">
      <alignment readingOrder="0"/>
    </xf>
    <xf borderId="0" fillId="0" fontId="9" numFmtId="0" xfId="0" applyFont="1"/>
    <xf borderId="2" fillId="0" fontId="4" numFmtId="0" xfId="0" applyBorder="1" applyFont="1"/>
    <xf borderId="2" fillId="0" fontId="4" numFmtId="0" xfId="0" applyAlignment="1" applyBorder="1" applyFont="1">
      <alignment horizontal="left" vertical="center"/>
    </xf>
    <xf borderId="2" fillId="0" fontId="5" numFmtId="3" xfId="0" applyAlignment="1" applyBorder="1" applyFont="1" applyNumberFormat="1">
      <alignment horizontal="center" vertical="center"/>
    </xf>
    <xf borderId="2" fillId="0" fontId="5" numFmtId="164" xfId="0" applyAlignment="1" applyBorder="1" applyFont="1" applyNumberFormat="1">
      <alignment horizontal="center" vertical="center"/>
    </xf>
    <xf borderId="2" fillId="4" fontId="4" numFmtId="3" xfId="0" applyAlignment="1" applyBorder="1" applyFill="1" applyFont="1" applyNumberFormat="1">
      <alignment horizontal="right" vertical="center"/>
    </xf>
    <xf borderId="2" fillId="0" fontId="4" numFmtId="3" xfId="0" applyAlignment="1" applyBorder="1" applyFont="1" applyNumberFormat="1">
      <alignment horizontal="center" vertical="center"/>
    </xf>
    <xf borderId="2" fillId="4" fontId="4" numFmtId="165" xfId="0" applyAlignment="1" applyBorder="1" applyFill="1" applyFont="1" applyNumberFormat="1">
      <alignment horizontal="right" vertical="center"/>
    </xf>
    <xf borderId="2" fillId="0" fontId="5" numFmtId="0" xfId="0" applyAlignment="1" applyBorder="1" applyFont="1">
      <alignment horizontal="center" vertical="center"/>
    </xf>
    <xf borderId="2" fillId="0" fontId="5" numFmtId="0" xfId="0" applyAlignment="1" applyBorder="1" applyFont="1">
      <alignment horizontal="center" readingOrder="0" vertical="center"/>
    </xf>
    <xf borderId="0" fillId="0" fontId="10" numFmtId="0" xfId="0" applyAlignment="1" applyFont="1">
      <alignment readingOrder="0"/>
    </xf>
    <xf borderId="0" fillId="0" fontId="11" numFmtId="0" xfId="0" applyAlignment="1" applyFont="1">
      <alignment readingOrder="0"/>
    </xf>
    <xf borderId="2" fillId="5" fontId="4" numFmtId="0" xfId="0" applyAlignment="1" applyBorder="1" applyFill="1" applyFont="1">
      <alignment horizontal="left" vertical="center"/>
    </xf>
    <xf borderId="2" fillId="5" fontId="5" numFmtId="0" xfId="0" applyAlignment="1" applyBorder="1" applyFill="1" applyFont="1">
      <alignment horizontal="center" readingOrder="0" vertical="center"/>
    </xf>
    <xf borderId="2" fillId="5" fontId="5" numFmtId="0" xfId="0" applyAlignment="1" applyBorder="1" applyFill="1" applyFont="1">
      <alignment horizontal="center" vertical="center"/>
    </xf>
    <xf borderId="2" fillId="5" fontId="5" numFmtId="3" xfId="0" applyAlignment="1" applyBorder="1" applyFill="1" applyFont="1" applyNumberFormat="1">
      <alignment horizontal="center" readingOrder="0" vertical="center"/>
    </xf>
    <xf borderId="2" fillId="5" fontId="5" numFmtId="3" xfId="0" applyAlignment="1" applyBorder="1" applyFill="1" applyFont="1" applyNumberFormat="1">
      <alignment horizontal="center" vertical="center"/>
    </xf>
    <xf borderId="2" fillId="5" fontId="5" numFmtId="0" xfId="0" applyAlignment="1" applyBorder="1" applyFill="1" applyFont="1">
      <alignment horizontal="left" vertical="center"/>
    </xf>
    <xf borderId="2" fillId="5" fontId="5" numFmtId="164" xfId="0" applyAlignment="1" applyBorder="1" applyFill="1" applyFont="1" applyNumberFormat="1">
      <alignment horizontal="center" vertical="center"/>
    </xf>
    <xf borderId="2" fillId="5" fontId="4" numFmtId="3" xfId="0" applyAlignment="1" applyBorder="1" applyFill="1" applyFont="1" applyNumberFormat="1">
      <alignment horizontal="center" vertical="center"/>
    </xf>
    <xf borderId="2" fillId="5" fontId="5" numFmtId="166" xfId="0" applyAlignment="1" applyBorder="1" applyFill="1" applyFont="1" applyNumberFormat="1">
      <alignment horizontal="center" vertical="center"/>
    </xf>
    <xf borderId="2" fillId="4" fontId="4" numFmtId="3" xfId="0" applyAlignment="1" applyBorder="1" applyFill="1" applyFont="1" applyNumberFormat="1">
      <alignment horizontal="center" vertical="center"/>
    </xf>
    <xf borderId="2" fillId="0" fontId="5" numFmtId="3" xfId="0" applyAlignment="1" applyBorder="1" applyFont="1" applyNumberFormat="1">
      <alignment horizontal="center" readingOrder="0" vertical="center"/>
    </xf>
    <xf borderId="2" fillId="0" fontId="5" numFmtId="166" xfId="0" applyAlignment="1" applyBorder="1" applyFont="1" applyNumberFormat="1">
      <alignment horizontal="center" vertical="center"/>
    </xf>
    <xf borderId="0" fillId="0" fontId="12" numFmtId="0" xfId="0" applyAlignment="1" applyFont="1">
      <alignment horizontal="left" readingOrder="0"/>
    </xf>
    <xf borderId="0" fillId="0" fontId="13" numFmtId="0" xfId="0" applyAlignment="1" applyFont="1">
      <alignment horizontal="center"/>
    </xf>
    <xf borderId="0" fillId="0" fontId="13" numFmtId="0" xfId="0" applyAlignment="1" applyFont="1">
      <alignment horizontal="left"/>
    </xf>
    <xf borderId="0" fillId="0" fontId="14" numFmtId="0" xfId="0" applyAlignment="1" applyFont="1">
      <alignment horizontal="left" readingOrder="0"/>
    </xf>
    <xf borderId="0" fillId="0" fontId="11" numFmtId="0" xfId="0" applyAlignment="1" applyFont="1">
      <alignment horizontal="left" readingOrder="0"/>
    </xf>
    <xf borderId="0" fillId="0" fontId="1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boosty.to/lootstat" TargetMode="External"/><Relationship Id="rId2" Type="http://schemas.openxmlformats.org/officeDocument/2006/relationships/hyperlink" Target="https://www.donationalerts.com/r/lootstat" TargetMode="External"/><Relationship Id="rId3" Type="http://schemas.openxmlformats.org/officeDocument/2006/relationships/hyperlink" Target="https://www.youtube.com/@LootStatGAME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5.0"/>
    <col customWidth="1" min="2" max="2" width="15.0"/>
    <col customWidth="1" hidden="1" min="3" max="3" width="15.0"/>
    <col customWidth="1" min="4" max="4" width="18.29"/>
    <col customWidth="1" min="5" max="5" width="18.0"/>
    <col customWidth="1" min="6" max="6" width="13.86"/>
    <col customWidth="1" hidden="1" min="7" max="7" width="10.86"/>
    <col customWidth="1" min="8" max="8" width="11.71"/>
    <col customWidth="1" min="9" max="9" width="13.43"/>
    <col customWidth="1" min="10" max="10" width="13.29"/>
    <col customWidth="1" min="11" max="11" width="13.14"/>
    <col customWidth="1" min="12" max="12" width="15.14"/>
    <col customWidth="1" min="13" max="26" width="8.71"/>
  </cols>
  <sheetData>
    <row r="1">
      <c r="A1" s="1" t="s">
        <v>0</v>
      </c>
    </row>
    <row r="2">
      <c r="A2" s="2" t="s">
        <v>1</v>
      </c>
    </row>
    <row r="3">
      <c r="A3" s="3" t="s">
        <v>2</v>
      </c>
    </row>
    <row r="4">
      <c r="A4" s="4" t="s">
        <v>3</v>
      </c>
      <c r="D4" s="6" t="s">
        <v>5</v>
      </c>
    </row>
    <row r="5">
      <c r="A5" s="7" t="s">
        <v>7</v>
      </c>
      <c r="B5" s="9">
        <v>0.0</v>
      </c>
      <c r="D5" s="11" t="s">
        <v>10</v>
      </c>
      <c r="E5" s="12">
        <v>12000.0</v>
      </c>
    </row>
    <row r="6">
      <c r="A6" s="7" t="s">
        <v>17</v>
      </c>
      <c r="B6" s="12">
        <v>2440.0</v>
      </c>
      <c r="D6" s="11" t="s">
        <v>18</v>
      </c>
      <c r="E6" s="9">
        <v>40000.0</v>
      </c>
      <c r="H6" s="13"/>
    </row>
    <row r="7">
      <c r="A7" s="7" t="s">
        <v>23</v>
      </c>
      <c r="B7" s="12">
        <v>1160.0</v>
      </c>
      <c r="F7" s="14"/>
      <c r="H7" s="15"/>
    </row>
    <row r="8">
      <c r="A8" s="7" t="s">
        <v>27</v>
      </c>
      <c r="B8" s="12">
        <v>80.0</v>
      </c>
    </row>
    <row r="9">
      <c r="A9" s="16" t="s">
        <v>29</v>
      </c>
      <c r="B9" s="20">
        <f>B6+B5*B7</f>
        <v>2440</v>
      </c>
    </row>
    <row r="10">
      <c r="A10" s="16" t="s">
        <v>34</v>
      </c>
      <c r="B10" s="22">
        <f>B9/B8</f>
        <v>30.5</v>
      </c>
    </row>
    <row r="11">
      <c r="A11" s="25" t="s">
        <v>35</v>
      </c>
    </row>
    <row r="12">
      <c r="A12" s="26" t="s">
        <v>36</v>
      </c>
    </row>
    <row r="13" ht="26.25" customHeight="1">
      <c r="A13" s="10" t="s">
        <v>8</v>
      </c>
      <c r="B13" s="10" t="s">
        <v>37</v>
      </c>
      <c r="C13" s="10" t="s">
        <v>38</v>
      </c>
      <c r="D13" s="10" t="s">
        <v>39</v>
      </c>
      <c r="E13" s="8" t="s">
        <v>40</v>
      </c>
      <c r="F13" s="8" t="s">
        <v>41</v>
      </c>
      <c r="G13" s="8" t="s">
        <v>42</v>
      </c>
      <c r="H13" s="8" t="s">
        <v>43</v>
      </c>
      <c r="I13" s="8" t="s">
        <v>44</v>
      </c>
      <c r="J13" s="8" t="s">
        <v>45</v>
      </c>
      <c r="K13" s="8" t="s">
        <v>46</v>
      </c>
      <c r="L13" s="8" t="s">
        <v>47</v>
      </c>
    </row>
    <row r="14">
      <c r="A14" s="27" t="s">
        <v>31</v>
      </c>
      <c r="B14" s="28">
        <v>3.0</v>
      </c>
      <c r="C14" s="29">
        <v>80.0</v>
      </c>
      <c r="D14" s="30">
        <v>400000.0</v>
      </c>
      <c r="E14" s="31">
        <f>'Расчет ресурсов'!S5</f>
        <v>421000</v>
      </c>
      <c r="F14" s="34">
        <f t="shared" ref="F14:F19" si="1">D14+E14</f>
        <v>821000</v>
      </c>
      <c r="G14" s="35">
        <f t="shared" ref="G14:G19" si="2">$B$10</f>
        <v>30.5</v>
      </c>
      <c r="H14" s="35">
        <f t="shared" ref="H14:H19" si="3">G14*B14/60</f>
        <v>1.525</v>
      </c>
      <c r="I14" s="34">
        <f t="shared" ref="I14:I19" si="4">D14/(B14/60)</f>
        <v>8000000</v>
      </c>
      <c r="J14" s="34">
        <f t="shared" ref="J14:J19" si="5">F14/(B14/60)</f>
        <v>16420000</v>
      </c>
      <c r="K14" s="36">
        <f t="shared" ref="K14:K19" si="6">IF(G14&lt;=84, G14*D14, IF(G14&lt;=105, 84*D14 + (G14-84)*D14*0.8, 84*D14 + 21*D14*0.8 + (G14-105)*D14*0.6))</f>
        <v>12200000</v>
      </c>
      <c r="L14" s="36">
        <f t="shared" ref="L14:L19" si="7">K14+(G14*E14)</f>
        <v>25040500</v>
      </c>
    </row>
    <row r="15">
      <c r="A15" s="17" t="s">
        <v>48</v>
      </c>
      <c r="B15" s="24">
        <v>4.0</v>
      </c>
      <c r="C15" s="23">
        <v>80.0</v>
      </c>
      <c r="D15" s="37">
        <v>400000.0</v>
      </c>
      <c r="E15" s="18">
        <f>'Расчет ресурсов'!S6</f>
        <v>421000</v>
      </c>
      <c r="F15" s="21">
        <f t="shared" si="1"/>
        <v>821000</v>
      </c>
      <c r="G15" s="38">
        <f t="shared" si="2"/>
        <v>30.5</v>
      </c>
      <c r="H15" s="38">
        <f t="shared" si="3"/>
        <v>2.033333333</v>
      </c>
      <c r="I15" s="21">
        <f t="shared" si="4"/>
        <v>6000000</v>
      </c>
      <c r="J15" s="21">
        <f t="shared" si="5"/>
        <v>12315000</v>
      </c>
      <c r="K15" s="36">
        <f t="shared" si="6"/>
        <v>12200000</v>
      </c>
      <c r="L15" s="36">
        <f t="shared" si="7"/>
        <v>25040500</v>
      </c>
    </row>
    <row r="16">
      <c r="A16" s="27" t="s">
        <v>49</v>
      </c>
      <c r="B16" s="28">
        <v>7.0</v>
      </c>
      <c r="C16" s="29">
        <v>80.0</v>
      </c>
      <c r="D16" s="30">
        <v>610000.0</v>
      </c>
      <c r="E16" s="31">
        <f>'Расчет ресурсов'!S7</f>
        <v>557400</v>
      </c>
      <c r="F16" s="34">
        <f t="shared" si="1"/>
        <v>1167400</v>
      </c>
      <c r="G16" s="35">
        <f t="shared" si="2"/>
        <v>30.5</v>
      </c>
      <c r="H16" s="35">
        <f t="shared" si="3"/>
        <v>3.558333333</v>
      </c>
      <c r="I16" s="34">
        <f t="shared" si="4"/>
        <v>5228571.429</v>
      </c>
      <c r="J16" s="34">
        <f t="shared" si="5"/>
        <v>10006285.71</v>
      </c>
      <c r="K16" s="36">
        <f t="shared" si="6"/>
        <v>18605000</v>
      </c>
      <c r="L16" s="36">
        <f t="shared" si="7"/>
        <v>35605700</v>
      </c>
    </row>
    <row r="17">
      <c r="A17" s="17" t="s">
        <v>50</v>
      </c>
      <c r="B17" s="24">
        <v>7.0</v>
      </c>
      <c r="C17" s="23">
        <v>80.0</v>
      </c>
      <c r="D17" s="37">
        <v>610000.0</v>
      </c>
      <c r="E17" s="18">
        <f>'Расчет ресурсов'!S8</f>
        <v>557400</v>
      </c>
      <c r="F17" s="21">
        <f t="shared" si="1"/>
        <v>1167400</v>
      </c>
      <c r="G17" s="38">
        <f t="shared" si="2"/>
        <v>30.5</v>
      </c>
      <c r="H17" s="38">
        <f t="shared" si="3"/>
        <v>3.558333333</v>
      </c>
      <c r="I17" s="21">
        <f t="shared" si="4"/>
        <v>5228571.429</v>
      </c>
      <c r="J17" s="21">
        <f t="shared" si="5"/>
        <v>10006285.71</v>
      </c>
      <c r="K17" s="36">
        <f t="shared" si="6"/>
        <v>18605000</v>
      </c>
      <c r="L17" s="36">
        <f t="shared" si="7"/>
        <v>35605700</v>
      </c>
    </row>
    <row r="18">
      <c r="A18" s="27" t="s">
        <v>51</v>
      </c>
      <c r="B18" s="28">
        <v>4.0</v>
      </c>
      <c r="C18" s="29">
        <v>80.0</v>
      </c>
      <c r="D18" s="30">
        <v>820000.0</v>
      </c>
      <c r="E18" s="31">
        <f>'Расчет ресурсов'!S9</f>
        <v>257600</v>
      </c>
      <c r="F18" s="34">
        <f t="shared" si="1"/>
        <v>1077600</v>
      </c>
      <c r="G18" s="35">
        <f t="shared" si="2"/>
        <v>30.5</v>
      </c>
      <c r="H18" s="35">
        <f t="shared" si="3"/>
        <v>2.033333333</v>
      </c>
      <c r="I18" s="34">
        <f t="shared" si="4"/>
        <v>12300000</v>
      </c>
      <c r="J18" s="34">
        <f t="shared" si="5"/>
        <v>16164000</v>
      </c>
      <c r="K18" s="36">
        <f t="shared" si="6"/>
        <v>25010000</v>
      </c>
      <c r="L18" s="36">
        <f t="shared" si="7"/>
        <v>32866800</v>
      </c>
    </row>
    <row r="19">
      <c r="A19" s="17" t="s">
        <v>52</v>
      </c>
      <c r="B19" s="24">
        <v>7.0</v>
      </c>
      <c r="C19" s="23">
        <v>80.0</v>
      </c>
      <c r="D19" s="37">
        <v>820000.0</v>
      </c>
      <c r="E19" s="18">
        <f>'Расчет ресурсов'!S10</f>
        <v>257600</v>
      </c>
      <c r="F19" s="21">
        <f t="shared" si="1"/>
        <v>1077600</v>
      </c>
      <c r="G19" s="38">
        <f t="shared" si="2"/>
        <v>30.5</v>
      </c>
      <c r="H19" s="38">
        <f t="shared" si="3"/>
        <v>3.558333333</v>
      </c>
      <c r="I19" s="21">
        <f t="shared" si="4"/>
        <v>7028571.429</v>
      </c>
      <c r="J19" s="21">
        <f t="shared" si="5"/>
        <v>9236571.429</v>
      </c>
      <c r="K19" s="36">
        <f t="shared" si="6"/>
        <v>25010000</v>
      </c>
      <c r="L19" s="36">
        <f t="shared" si="7"/>
        <v>32866800</v>
      </c>
    </row>
    <row r="20">
      <c r="A20" s="39" t="s">
        <v>59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</row>
    <row r="21" ht="15.75" customHeight="1">
      <c r="A21" s="41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</row>
    <row r="22" ht="15.75" customHeight="1">
      <c r="A22" s="42" t="s">
        <v>60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</row>
    <row r="23" ht="15.75" customHeight="1">
      <c r="A23" s="43" t="s">
        <v>61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</row>
    <row r="24" ht="15.75" customHeight="1">
      <c r="A24" s="10" t="s">
        <v>8</v>
      </c>
      <c r="B24" s="10" t="s">
        <v>37</v>
      </c>
      <c r="C24" s="10" t="s">
        <v>38</v>
      </c>
      <c r="D24" s="10" t="s">
        <v>39</v>
      </c>
      <c r="E24" s="8" t="s">
        <v>40</v>
      </c>
      <c r="F24" s="8" t="s">
        <v>41</v>
      </c>
      <c r="G24" s="8" t="s">
        <v>42</v>
      </c>
      <c r="H24" s="8" t="s">
        <v>43</v>
      </c>
      <c r="I24" s="8" t="s">
        <v>44</v>
      </c>
      <c r="J24" s="8" t="s">
        <v>45</v>
      </c>
      <c r="K24" s="8" t="s">
        <v>46</v>
      </c>
      <c r="L24" s="8" t="s">
        <v>47</v>
      </c>
    </row>
    <row r="25" ht="15.75" customHeight="1">
      <c r="A25" s="17" t="s">
        <v>53</v>
      </c>
      <c r="B25" s="24">
        <v>4.0</v>
      </c>
      <c r="C25" s="23">
        <v>80.0</v>
      </c>
      <c r="D25" s="37">
        <v>400000.0</v>
      </c>
      <c r="E25" s="18">
        <f>'Расчет ресурсов'!S11</f>
        <v>50400</v>
      </c>
      <c r="F25" s="21">
        <f t="shared" ref="F25:F28" si="8">D25+E25</f>
        <v>450400</v>
      </c>
      <c r="G25" s="38">
        <f t="shared" ref="G25:G28" si="9">$B$10</f>
        <v>30.5</v>
      </c>
      <c r="H25" s="38">
        <f t="shared" ref="H25:H28" si="10">G25*B25/60</f>
        <v>2.033333333</v>
      </c>
      <c r="I25" s="21">
        <f t="shared" ref="I25:I28" si="11">D25/(B25/60)</f>
        <v>6000000</v>
      </c>
      <c r="J25" s="21">
        <f t="shared" ref="J25:J28" si="12">F25/(B25/60)</f>
        <v>6756000</v>
      </c>
      <c r="K25" s="36">
        <f t="shared" ref="K25:K28" si="13">IF(G25&lt;=54, G25*D25, 54*D25 + (G25-54)*D25*0.8)</f>
        <v>12200000</v>
      </c>
      <c r="L25" s="36">
        <f t="shared" ref="L25:L28" si="14">K25+(G25*E25)</f>
        <v>13737200</v>
      </c>
    </row>
    <row r="26" ht="15.75" customHeight="1">
      <c r="A26" s="27" t="s">
        <v>56</v>
      </c>
      <c r="B26" s="29">
        <v>5.0</v>
      </c>
      <c r="C26" s="29">
        <v>80.0</v>
      </c>
      <c r="D26" s="30">
        <v>520000.0</v>
      </c>
      <c r="E26" s="31">
        <f>'Расчет ресурсов'!S12</f>
        <v>54600</v>
      </c>
      <c r="F26" s="34">
        <f t="shared" si="8"/>
        <v>574600</v>
      </c>
      <c r="G26" s="35">
        <f t="shared" si="9"/>
        <v>30.5</v>
      </c>
      <c r="H26" s="35">
        <f t="shared" si="10"/>
        <v>2.541666667</v>
      </c>
      <c r="I26" s="34">
        <f t="shared" si="11"/>
        <v>6240000</v>
      </c>
      <c r="J26" s="34">
        <f t="shared" si="12"/>
        <v>6895200</v>
      </c>
      <c r="K26" s="36">
        <f t="shared" si="13"/>
        <v>15860000</v>
      </c>
      <c r="L26" s="36">
        <f t="shared" si="14"/>
        <v>17525300</v>
      </c>
    </row>
    <row r="27" ht="15.75" customHeight="1">
      <c r="A27" s="17" t="s">
        <v>57</v>
      </c>
      <c r="B27" s="24">
        <v>6.0</v>
      </c>
      <c r="C27" s="23">
        <v>80.0</v>
      </c>
      <c r="D27" s="37">
        <v>700000.0</v>
      </c>
      <c r="E27" s="18">
        <f>'Расчет ресурсов'!S13</f>
        <v>392000</v>
      </c>
      <c r="F27" s="21">
        <f t="shared" si="8"/>
        <v>1092000</v>
      </c>
      <c r="G27" s="38">
        <f t="shared" si="9"/>
        <v>30.5</v>
      </c>
      <c r="H27" s="38">
        <f t="shared" si="10"/>
        <v>3.05</v>
      </c>
      <c r="I27" s="21">
        <f t="shared" si="11"/>
        <v>7000000</v>
      </c>
      <c r="J27" s="21">
        <f t="shared" si="12"/>
        <v>10920000</v>
      </c>
      <c r="K27" s="36">
        <f t="shared" si="13"/>
        <v>21350000</v>
      </c>
      <c r="L27" s="36">
        <f t="shared" si="14"/>
        <v>33306000</v>
      </c>
    </row>
    <row r="28" ht="15.75" customHeight="1">
      <c r="A28" s="27" t="s">
        <v>58</v>
      </c>
      <c r="B28" s="28">
        <v>7.0</v>
      </c>
      <c r="C28" s="29">
        <v>80.0</v>
      </c>
      <c r="D28" s="30">
        <v>940000.0</v>
      </c>
      <c r="E28" s="31">
        <f>'Расчет ресурсов'!S14</f>
        <v>483000</v>
      </c>
      <c r="F28" s="34">
        <f t="shared" si="8"/>
        <v>1423000</v>
      </c>
      <c r="G28" s="35">
        <f t="shared" si="9"/>
        <v>30.5</v>
      </c>
      <c r="H28" s="35">
        <f t="shared" si="10"/>
        <v>3.558333333</v>
      </c>
      <c r="I28" s="34">
        <f t="shared" si="11"/>
        <v>8057142.857</v>
      </c>
      <c r="J28" s="34">
        <f t="shared" si="12"/>
        <v>12197142.86</v>
      </c>
      <c r="K28" s="36">
        <f t="shared" si="13"/>
        <v>28670000</v>
      </c>
      <c r="L28" s="36">
        <f t="shared" si="14"/>
        <v>43401500</v>
      </c>
    </row>
    <row r="29" ht="15.75" customHeight="1">
      <c r="A29" s="44" t="s">
        <v>62</v>
      </c>
    </row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A3"/>
    <hyperlink r:id="rId2" ref="A11"/>
    <hyperlink r:id="rId3" ref="A22"/>
  </hyperlinks>
  <printOptions/>
  <pageMargins bottom="1.0" footer="0.0" header="0.0" left="0.75" right="0.75" top="1.0"/>
  <pageSetup orientation="landscape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3.0"/>
    <col customWidth="1" hidden="1" min="2" max="3" width="16.0"/>
    <col customWidth="1" min="4" max="5" width="12.0"/>
    <col customWidth="1" hidden="1" min="6" max="6" width="15.14"/>
    <col customWidth="1" hidden="1" min="7" max="7" width="17.0"/>
    <col customWidth="1" min="8" max="8" width="14.0"/>
    <col customWidth="1" hidden="1" min="9" max="9" width="14.0"/>
    <col customWidth="1" hidden="1" min="10" max="10" width="8.71"/>
    <col customWidth="1" hidden="1" min="11" max="11" width="9.43"/>
    <col customWidth="1" min="12" max="12" width="11.29"/>
    <col customWidth="1" hidden="1" min="13" max="13" width="13.14"/>
    <col customWidth="1" min="14" max="14" width="11.14"/>
    <col customWidth="1" hidden="1" min="15" max="15" width="14.0"/>
    <col customWidth="1" hidden="1" min="16" max="16" width="7.0"/>
    <col customWidth="1" hidden="1" min="17" max="17" width="7.57"/>
    <col customWidth="1" min="18" max="18" width="12.0"/>
    <col customWidth="1" min="19" max="19" width="15.86"/>
    <col customWidth="1" min="20" max="26" width="8.71"/>
  </cols>
  <sheetData>
    <row r="1">
      <c r="A1" s="5" t="s">
        <v>4</v>
      </c>
    </row>
    <row r="2">
      <c r="A2" s="2" t="s">
        <v>6</v>
      </c>
    </row>
    <row r="4">
      <c r="A4" s="8" t="s">
        <v>8</v>
      </c>
      <c r="B4" s="10" t="s">
        <v>9</v>
      </c>
      <c r="C4" s="10" t="s">
        <v>11</v>
      </c>
      <c r="D4" s="8" t="s">
        <v>12</v>
      </c>
      <c r="E4" s="8" t="s">
        <v>13</v>
      </c>
      <c r="F4" s="8" t="s">
        <v>14</v>
      </c>
      <c r="G4" s="10" t="s">
        <v>15</v>
      </c>
      <c r="H4" s="8" t="s">
        <v>16</v>
      </c>
      <c r="I4" s="10" t="s">
        <v>19</v>
      </c>
      <c r="J4" s="10" t="s">
        <v>20</v>
      </c>
      <c r="K4" s="10" t="s">
        <v>21</v>
      </c>
      <c r="L4" s="10" t="s">
        <v>22</v>
      </c>
      <c r="M4" s="10" t="s">
        <v>24</v>
      </c>
      <c r="N4" s="8" t="s">
        <v>25</v>
      </c>
      <c r="O4" s="10" t="s">
        <v>26</v>
      </c>
      <c r="P4" s="10" t="s">
        <v>20</v>
      </c>
      <c r="Q4" s="10" t="s">
        <v>21</v>
      </c>
      <c r="R4" s="10" t="s">
        <v>28</v>
      </c>
      <c r="S4" s="8" t="s">
        <v>30</v>
      </c>
    </row>
    <row r="5">
      <c r="A5" s="17" t="s">
        <v>31</v>
      </c>
      <c r="B5" s="7" t="s">
        <v>32</v>
      </c>
      <c r="C5" s="7" t="s">
        <v>33</v>
      </c>
      <c r="D5" s="18">
        <v>4000000.0</v>
      </c>
      <c r="E5" s="19">
        <v>0.1</v>
      </c>
      <c r="F5" s="21">
        <f t="shared" ref="F5:F14" si="1">D5*E5</f>
        <v>400000</v>
      </c>
      <c r="G5" s="23" t="s">
        <v>10</v>
      </c>
      <c r="H5" s="18">
        <f>'Калькулятор'!$E$5</f>
        <v>12000</v>
      </c>
      <c r="I5" s="19">
        <v>0.7</v>
      </c>
      <c r="J5" s="23">
        <v>1.0</v>
      </c>
      <c r="K5" s="24">
        <v>4.0</v>
      </c>
      <c r="L5" s="21">
        <f t="shared" ref="L5:L14" si="2">H5*I5*(J5+K5)/2</f>
        <v>21000</v>
      </c>
      <c r="M5" s="23" t="s">
        <v>18</v>
      </c>
      <c r="N5" s="18">
        <f>'Калькулятор'!$E$6</f>
        <v>40000</v>
      </c>
      <c r="O5" s="19">
        <v>0.0</v>
      </c>
      <c r="P5" s="23">
        <v>0.0</v>
      </c>
      <c r="Q5" s="23">
        <v>0.0</v>
      </c>
      <c r="R5" s="21">
        <f t="shared" ref="R5:R14" si="3">N5*O5*(P5+Q5)/2</f>
        <v>0</v>
      </c>
      <c r="S5" s="21">
        <f t="shared" ref="S5:S14" si="4">F5+L5+R5</f>
        <v>421000</v>
      </c>
    </row>
    <row r="6">
      <c r="A6" s="27" t="s">
        <v>48</v>
      </c>
      <c r="B6" s="32" t="s">
        <v>32</v>
      </c>
      <c r="C6" s="32" t="s">
        <v>33</v>
      </c>
      <c r="D6" s="31">
        <v>4000000.0</v>
      </c>
      <c r="E6" s="33">
        <v>0.1</v>
      </c>
      <c r="F6" s="34">
        <f t="shared" si="1"/>
        <v>400000</v>
      </c>
      <c r="G6" s="29" t="s">
        <v>10</v>
      </c>
      <c r="H6" s="31">
        <f>'Калькулятор'!$E$5</f>
        <v>12000</v>
      </c>
      <c r="I6" s="33">
        <v>0.7</v>
      </c>
      <c r="J6" s="29">
        <v>1.0</v>
      </c>
      <c r="K6" s="28">
        <v>4.0</v>
      </c>
      <c r="L6" s="34">
        <f t="shared" si="2"/>
        <v>21000</v>
      </c>
      <c r="M6" s="29" t="s">
        <v>18</v>
      </c>
      <c r="N6" s="31">
        <f>'Калькулятор'!$E$6</f>
        <v>40000</v>
      </c>
      <c r="O6" s="33">
        <v>0.0</v>
      </c>
      <c r="P6" s="29">
        <v>0.0</v>
      </c>
      <c r="Q6" s="29">
        <v>0.0</v>
      </c>
      <c r="R6" s="34">
        <f t="shared" si="3"/>
        <v>0</v>
      </c>
      <c r="S6" s="34">
        <f t="shared" si="4"/>
        <v>421000</v>
      </c>
    </row>
    <row r="7">
      <c r="A7" s="17" t="s">
        <v>49</v>
      </c>
      <c r="B7" s="7" t="s">
        <v>32</v>
      </c>
      <c r="C7" s="7" t="s">
        <v>33</v>
      </c>
      <c r="D7" s="18">
        <v>4400000.0</v>
      </c>
      <c r="E7" s="19">
        <v>0.12</v>
      </c>
      <c r="F7" s="21">
        <f t="shared" si="1"/>
        <v>528000</v>
      </c>
      <c r="G7" s="23" t="s">
        <v>10</v>
      </c>
      <c r="H7" s="18">
        <f>'Калькулятор'!$E$5</f>
        <v>12000</v>
      </c>
      <c r="I7" s="19">
        <v>0.7</v>
      </c>
      <c r="J7" s="23">
        <v>1.0</v>
      </c>
      <c r="K7" s="24">
        <v>6.0</v>
      </c>
      <c r="L7" s="21">
        <f t="shared" si="2"/>
        <v>29400</v>
      </c>
      <c r="M7" s="23" t="s">
        <v>18</v>
      </c>
      <c r="N7" s="18">
        <f>'Калькулятор'!$E$6</f>
        <v>40000</v>
      </c>
      <c r="O7" s="19">
        <v>0.0</v>
      </c>
      <c r="P7" s="23">
        <v>0.0</v>
      </c>
      <c r="Q7" s="23">
        <v>0.0</v>
      </c>
      <c r="R7" s="21">
        <f t="shared" si="3"/>
        <v>0</v>
      </c>
      <c r="S7" s="21">
        <f t="shared" si="4"/>
        <v>557400</v>
      </c>
    </row>
    <row r="8">
      <c r="A8" s="27" t="s">
        <v>50</v>
      </c>
      <c r="B8" s="32" t="s">
        <v>32</v>
      </c>
      <c r="C8" s="32" t="s">
        <v>33</v>
      </c>
      <c r="D8" s="31">
        <v>4400000.0</v>
      </c>
      <c r="E8" s="33">
        <v>0.12</v>
      </c>
      <c r="F8" s="34">
        <f t="shared" si="1"/>
        <v>528000</v>
      </c>
      <c r="G8" s="29" t="s">
        <v>10</v>
      </c>
      <c r="H8" s="31">
        <f>'Калькулятор'!$E$5</f>
        <v>12000</v>
      </c>
      <c r="I8" s="33">
        <v>0.7</v>
      </c>
      <c r="J8" s="29">
        <v>1.0</v>
      </c>
      <c r="K8" s="28">
        <v>6.0</v>
      </c>
      <c r="L8" s="34">
        <f t="shared" si="2"/>
        <v>29400</v>
      </c>
      <c r="M8" s="29" t="s">
        <v>18</v>
      </c>
      <c r="N8" s="31">
        <f>'Калькулятор'!$E$6</f>
        <v>40000</v>
      </c>
      <c r="O8" s="33">
        <v>0.0</v>
      </c>
      <c r="P8" s="29">
        <v>0.0</v>
      </c>
      <c r="Q8" s="29">
        <v>0.0</v>
      </c>
      <c r="R8" s="34">
        <f t="shared" si="3"/>
        <v>0</v>
      </c>
      <c r="S8" s="34">
        <f t="shared" si="4"/>
        <v>557400</v>
      </c>
    </row>
    <row r="9">
      <c r="A9" s="17" t="s">
        <v>51</v>
      </c>
      <c r="B9" s="7" t="s">
        <v>32</v>
      </c>
      <c r="C9" s="7" t="s">
        <v>33</v>
      </c>
      <c r="D9" s="18">
        <v>700000.0</v>
      </c>
      <c r="E9" s="19">
        <v>0.16</v>
      </c>
      <c r="F9" s="21">
        <f t="shared" si="1"/>
        <v>112000</v>
      </c>
      <c r="G9" s="23" t="s">
        <v>10</v>
      </c>
      <c r="H9" s="18">
        <f>'Калькулятор'!$E$5</f>
        <v>12000</v>
      </c>
      <c r="I9" s="19">
        <v>0.7</v>
      </c>
      <c r="J9" s="23">
        <v>1.0</v>
      </c>
      <c r="K9" s="24">
        <v>7.0</v>
      </c>
      <c r="L9" s="21">
        <f t="shared" si="2"/>
        <v>33600</v>
      </c>
      <c r="M9" s="23" t="s">
        <v>18</v>
      </c>
      <c r="N9" s="18">
        <f>'Калькулятор'!$E$6</f>
        <v>40000</v>
      </c>
      <c r="O9" s="19">
        <v>0.7</v>
      </c>
      <c r="P9" s="23">
        <v>1.0</v>
      </c>
      <c r="Q9" s="24">
        <v>7.0</v>
      </c>
      <c r="R9" s="21">
        <f t="shared" si="3"/>
        <v>112000</v>
      </c>
      <c r="S9" s="21">
        <f t="shared" si="4"/>
        <v>257600</v>
      </c>
    </row>
    <row r="10">
      <c r="A10" s="27" t="s">
        <v>52</v>
      </c>
      <c r="B10" s="32" t="s">
        <v>32</v>
      </c>
      <c r="C10" s="32" t="s">
        <v>33</v>
      </c>
      <c r="D10" s="31">
        <v>700000.0</v>
      </c>
      <c r="E10" s="33">
        <v>0.16</v>
      </c>
      <c r="F10" s="34">
        <f t="shared" si="1"/>
        <v>112000</v>
      </c>
      <c r="G10" s="29" t="s">
        <v>10</v>
      </c>
      <c r="H10" s="31">
        <f>'Калькулятор'!$E$5</f>
        <v>12000</v>
      </c>
      <c r="I10" s="33">
        <v>0.7</v>
      </c>
      <c r="J10" s="29">
        <v>1.0</v>
      </c>
      <c r="K10" s="28">
        <v>7.0</v>
      </c>
      <c r="L10" s="34">
        <f t="shared" si="2"/>
        <v>33600</v>
      </c>
      <c r="M10" s="29" t="s">
        <v>18</v>
      </c>
      <c r="N10" s="31">
        <f>'Калькулятор'!$E$6</f>
        <v>40000</v>
      </c>
      <c r="O10" s="33">
        <v>0.7</v>
      </c>
      <c r="P10" s="29">
        <v>1.0</v>
      </c>
      <c r="Q10" s="28">
        <v>7.0</v>
      </c>
      <c r="R10" s="34">
        <f t="shared" si="3"/>
        <v>112000</v>
      </c>
      <c r="S10" s="34">
        <f t="shared" si="4"/>
        <v>257600</v>
      </c>
    </row>
    <row r="11">
      <c r="A11" s="17" t="s">
        <v>53</v>
      </c>
      <c r="B11" s="7" t="s">
        <v>54</v>
      </c>
      <c r="C11" s="7" t="s">
        <v>55</v>
      </c>
      <c r="D11" s="18">
        <v>0.0</v>
      </c>
      <c r="E11" s="19">
        <v>0.0</v>
      </c>
      <c r="F11" s="21">
        <f t="shared" si="1"/>
        <v>0</v>
      </c>
      <c r="G11" s="23" t="s">
        <v>10</v>
      </c>
      <c r="H11" s="18">
        <f>'Калькулятор'!$E$5</f>
        <v>12000</v>
      </c>
      <c r="I11" s="19">
        <v>0.7</v>
      </c>
      <c r="J11" s="23">
        <v>1.0</v>
      </c>
      <c r="K11" s="24">
        <v>11.0</v>
      </c>
      <c r="L11" s="21">
        <f t="shared" si="2"/>
        <v>50400</v>
      </c>
      <c r="M11" s="23" t="s">
        <v>18</v>
      </c>
      <c r="N11" s="18">
        <f>'Калькулятор'!$E$6</f>
        <v>40000</v>
      </c>
      <c r="O11" s="19">
        <v>0.0</v>
      </c>
      <c r="P11" s="23">
        <v>0.0</v>
      </c>
      <c r="Q11" s="23">
        <v>0.0</v>
      </c>
      <c r="R11" s="21">
        <f t="shared" si="3"/>
        <v>0</v>
      </c>
      <c r="S11" s="21">
        <f t="shared" si="4"/>
        <v>50400</v>
      </c>
    </row>
    <row r="12">
      <c r="A12" s="27" t="s">
        <v>56</v>
      </c>
      <c r="B12" s="32" t="s">
        <v>54</v>
      </c>
      <c r="C12" s="32" t="s">
        <v>55</v>
      </c>
      <c r="D12" s="31">
        <v>0.0</v>
      </c>
      <c r="E12" s="33">
        <v>0.0</v>
      </c>
      <c r="F12" s="34">
        <f t="shared" si="1"/>
        <v>0</v>
      </c>
      <c r="G12" s="29" t="s">
        <v>10</v>
      </c>
      <c r="H12" s="31">
        <f>'Калькулятор'!$E$5</f>
        <v>12000</v>
      </c>
      <c r="I12" s="33">
        <v>0.7</v>
      </c>
      <c r="J12" s="29">
        <v>1.0</v>
      </c>
      <c r="K12" s="28">
        <v>12.0</v>
      </c>
      <c r="L12" s="34">
        <f t="shared" si="2"/>
        <v>54600</v>
      </c>
      <c r="M12" s="29" t="s">
        <v>18</v>
      </c>
      <c r="N12" s="31">
        <f>'Калькулятор'!$E$6</f>
        <v>40000</v>
      </c>
      <c r="O12" s="33">
        <v>0.0</v>
      </c>
      <c r="P12" s="29">
        <v>0.0</v>
      </c>
      <c r="Q12" s="29">
        <v>0.0</v>
      </c>
      <c r="R12" s="34">
        <f t="shared" si="3"/>
        <v>0</v>
      </c>
      <c r="S12" s="34">
        <f t="shared" si="4"/>
        <v>54600</v>
      </c>
    </row>
    <row r="13">
      <c r="A13" s="17" t="s">
        <v>57</v>
      </c>
      <c r="B13" s="7" t="s">
        <v>54</v>
      </c>
      <c r="C13" s="7" t="s">
        <v>33</v>
      </c>
      <c r="D13" s="18">
        <v>400000.0</v>
      </c>
      <c r="E13" s="19">
        <v>0.07</v>
      </c>
      <c r="F13" s="21">
        <f t="shared" si="1"/>
        <v>28000</v>
      </c>
      <c r="G13" s="23" t="s">
        <v>10</v>
      </c>
      <c r="H13" s="18">
        <f>'Калькулятор'!$E$5</f>
        <v>12000</v>
      </c>
      <c r="I13" s="19">
        <v>0.7</v>
      </c>
      <c r="J13" s="23">
        <v>1.0</v>
      </c>
      <c r="K13" s="24">
        <v>19.0</v>
      </c>
      <c r="L13" s="21">
        <f t="shared" si="2"/>
        <v>84000</v>
      </c>
      <c r="M13" s="23" t="s">
        <v>18</v>
      </c>
      <c r="N13" s="18">
        <f>'Калькулятор'!$E$6</f>
        <v>40000</v>
      </c>
      <c r="O13" s="19">
        <v>0.7</v>
      </c>
      <c r="P13" s="23">
        <v>1.0</v>
      </c>
      <c r="Q13" s="24">
        <v>19.0</v>
      </c>
      <c r="R13" s="21">
        <f t="shared" si="3"/>
        <v>280000</v>
      </c>
      <c r="S13" s="21">
        <f t="shared" si="4"/>
        <v>392000</v>
      </c>
    </row>
    <row r="14">
      <c r="A14" s="27" t="s">
        <v>58</v>
      </c>
      <c r="B14" s="32" t="s">
        <v>54</v>
      </c>
      <c r="C14" s="32" t="s">
        <v>33</v>
      </c>
      <c r="D14" s="31">
        <v>400000.0</v>
      </c>
      <c r="E14" s="33">
        <v>0.07</v>
      </c>
      <c r="F14" s="34">
        <f t="shared" si="1"/>
        <v>28000</v>
      </c>
      <c r="G14" s="29" t="s">
        <v>10</v>
      </c>
      <c r="H14" s="31">
        <f>'Калькулятор'!$E$5</f>
        <v>12000</v>
      </c>
      <c r="I14" s="33">
        <v>0.7</v>
      </c>
      <c r="J14" s="29">
        <v>1.0</v>
      </c>
      <c r="K14" s="28">
        <v>24.0</v>
      </c>
      <c r="L14" s="34">
        <f t="shared" si="2"/>
        <v>105000</v>
      </c>
      <c r="M14" s="29" t="s">
        <v>18</v>
      </c>
      <c r="N14" s="31">
        <f>'Калькулятор'!$E$6</f>
        <v>40000</v>
      </c>
      <c r="O14" s="33">
        <v>0.7</v>
      </c>
      <c r="P14" s="29">
        <v>1.0</v>
      </c>
      <c r="Q14" s="28">
        <v>24.0</v>
      </c>
      <c r="R14" s="34">
        <f t="shared" si="3"/>
        <v>350000</v>
      </c>
      <c r="S14" s="34">
        <f t="shared" si="4"/>
        <v>483000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